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Presupuesto Modelo" sheetId="3" r:id="rId1"/>
  </sheets>
  <definedNames>
    <definedName name="_xlnm.Print_Area" localSheetId="0">'Presupuesto Modelo'!$A$1:$E$100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<sst xmlns="http://schemas.openxmlformats.org/spreadsheetml/2006/main" count="123" uniqueCount="99">
  <si>
    <t>Partida</t>
  </si>
  <si>
    <t>Unidad</t>
  </si>
  <si>
    <t>Cantidad</t>
  </si>
  <si>
    <t xml:space="preserve"> Precio/Unidad </t>
  </si>
  <si>
    <t xml:space="preserve"> Valor $ </t>
  </si>
  <si>
    <t>horas</t>
  </si>
  <si>
    <t>Mano de obra</t>
  </si>
  <si>
    <t>Combate plagas</t>
  </si>
  <si>
    <t>Ferti-riego</t>
  </si>
  <si>
    <t>Subtotal Mano de obra</t>
  </si>
  <si>
    <t>Materiales</t>
  </si>
  <si>
    <t>Semillas</t>
  </si>
  <si>
    <t>onza</t>
  </si>
  <si>
    <t>c/u</t>
  </si>
  <si>
    <t>Abono</t>
  </si>
  <si>
    <t>quintales</t>
  </si>
  <si>
    <t>libras</t>
  </si>
  <si>
    <t>Carbonato Calizo</t>
  </si>
  <si>
    <t>tonelada</t>
  </si>
  <si>
    <t>Herbicida</t>
  </si>
  <si>
    <t>galón</t>
  </si>
  <si>
    <t>Plásticos</t>
  </si>
  <si>
    <t>Sacos</t>
  </si>
  <si>
    <t>Subtotal de materiales</t>
  </si>
  <si>
    <t>Otros Gastos</t>
  </si>
  <si>
    <t>Uso del terreno</t>
  </si>
  <si>
    <t>Subtotal de otros gastos</t>
  </si>
  <si>
    <t>Subsidio Salarial</t>
  </si>
  <si>
    <t>Interés sobre los gastos</t>
  </si>
  <si>
    <t>Disposición de plásticos, mangas de riego y recipientes de plaguicidas</t>
  </si>
  <si>
    <t>PRODUCCIÓN POR CUERDA</t>
  </si>
  <si>
    <t>GASTOS</t>
  </si>
  <si>
    <t>TOTAL DE GASTOS</t>
  </si>
  <si>
    <t>INGRESO NETO</t>
  </si>
  <si>
    <t>INGRESO BRUTO</t>
  </si>
  <si>
    <t>INGRESSO NETO</t>
  </si>
  <si>
    <t>INGRESO TOTAL</t>
  </si>
  <si>
    <t>Ingreso Total</t>
  </si>
  <si>
    <t>PRODUCCIÓN MÍNIMA</t>
  </si>
  <si>
    <t>PRECIO MÍNIMO</t>
  </si>
  <si>
    <t>Precio</t>
  </si>
  <si>
    <t>Valor</t>
  </si>
  <si>
    <t>Revisado por:</t>
  </si>
  <si>
    <t>Roberto Sánchez Silva, M.S. Departamento de Economía Agrícola y Sociología Rural</t>
  </si>
  <si>
    <t>Profa. Mildred Cortes, Catedrática, Departamento de Economía Agrícola y Sociología Rural</t>
  </si>
  <si>
    <t>Yasmín del Río Ríos, Estudiante Graduada Departamento de Economía Agrícola y Sociología Rural</t>
  </si>
  <si>
    <t>Dra. Alexandra Gregory Crespo, Catedrática Asociada, Departamento de Economía Agrícola y Sociología Rural</t>
  </si>
  <si>
    <t>Dra. Ermita Hernández, Catedrática Auxiliar, Departamento de Ciencias Agroambientales</t>
  </si>
  <si>
    <t>PRESUPUESTO MODELO: AJÍ DULCE (1 cuerda)</t>
  </si>
  <si>
    <r>
      <t xml:space="preserve">Gasto de maquinaria </t>
    </r>
    <r>
      <rPr>
        <b/>
        <vertAlign val="superscript"/>
        <sz val="12"/>
        <color rgb="FF000000"/>
        <rFont val="Times New Roman"/>
        <family val="1"/>
      </rPr>
      <t>[2]</t>
    </r>
  </si>
  <si>
    <r>
      <t xml:space="preserve">Aplicación de herbicida </t>
    </r>
    <r>
      <rPr>
        <vertAlign val="superscript"/>
        <sz val="12"/>
        <color rgb="FF000000"/>
        <rFont val="Times New Roman"/>
        <family val="1"/>
      </rPr>
      <t>[3]</t>
    </r>
  </si>
  <si>
    <r>
      <t xml:space="preserve">Siembra </t>
    </r>
    <r>
      <rPr>
        <vertAlign val="superscript"/>
        <sz val="12"/>
        <color rgb="FF000000"/>
        <rFont val="Times New Roman"/>
        <family val="1"/>
      </rPr>
      <t>[4]</t>
    </r>
  </si>
  <si>
    <r>
      <t>Re-siembra</t>
    </r>
    <r>
      <rPr>
        <vertAlign val="superscript"/>
        <sz val="12"/>
        <color rgb="FF000000"/>
        <rFont val="Times New Roman"/>
        <family val="1"/>
      </rPr>
      <t>[5]</t>
    </r>
  </si>
  <si>
    <r>
      <t xml:space="preserve">Abonamiento </t>
    </r>
    <r>
      <rPr>
        <vertAlign val="superscript"/>
        <sz val="12"/>
        <color rgb="FF000000"/>
        <rFont val="Times New Roman"/>
        <family val="1"/>
      </rPr>
      <t>[6]</t>
    </r>
  </si>
  <si>
    <r>
      <t xml:space="preserve">Poda (desyerbo de corona) </t>
    </r>
    <r>
      <rPr>
        <vertAlign val="superscript"/>
        <sz val="12"/>
        <color rgb="FF000000"/>
        <rFont val="Times New Roman"/>
        <family val="1"/>
      </rPr>
      <t>[7]</t>
    </r>
  </si>
  <si>
    <r>
      <t>Cosecha</t>
    </r>
    <r>
      <rPr>
        <vertAlign val="superscript"/>
        <sz val="12"/>
        <color rgb="FF000000"/>
        <rFont val="Times New Roman"/>
        <family val="1"/>
      </rPr>
      <t>[8]</t>
    </r>
  </si>
  <si>
    <r>
      <t xml:space="preserve">Servicio de propagación </t>
    </r>
    <r>
      <rPr>
        <vertAlign val="superscript"/>
        <sz val="12"/>
        <color rgb="FF000000"/>
        <rFont val="Times New Roman"/>
        <family val="1"/>
      </rPr>
      <t>[9]</t>
    </r>
  </si>
  <si>
    <r>
      <t xml:space="preserve">Ferti-riego </t>
    </r>
    <r>
      <rPr>
        <vertAlign val="superscript"/>
        <sz val="12"/>
        <color rgb="FF000000"/>
        <rFont val="Times New Roman"/>
        <family val="1"/>
      </rPr>
      <t>[10]</t>
    </r>
  </si>
  <si>
    <r>
      <t xml:space="preserve">Plaguicida </t>
    </r>
    <r>
      <rPr>
        <vertAlign val="superscript"/>
        <sz val="12"/>
        <color rgb="FF000000"/>
        <rFont val="Times New Roman"/>
        <family val="1"/>
      </rPr>
      <t>[11]</t>
    </r>
  </si>
  <si>
    <r>
      <t xml:space="preserve">Sistema de riego </t>
    </r>
    <r>
      <rPr>
        <vertAlign val="superscript"/>
        <sz val="12"/>
        <color rgb="FF000000"/>
        <rFont val="Times New Roman"/>
        <family val="1"/>
      </rPr>
      <t>[12]</t>
    </r>
  </si>
  <si>
    <r>
      <t xml:space="preserve">Misceláneos </t>
    </r>
    <r>
      <rPr>
        <vertAlign val="superscript"/>
        <sz val="12"/>
        <color rgb="FF000000"/>
        <rFont val="Times New Roman"/>
        <family val="1"/>
      </rPr>
      <t>[13]</t>
    </r>
  </si>
  <si>
    <r>
      <t xml:space="preserve">Obligaciones Patronales </t>
    </r>
    <r>
      <rPr>
        <vertAlign val="superscript"/>
        <sz val="12"/>
        <color rgb="FF000000"/>
        <rFont val="Times New Roman"/>
        <family val="1"/>
      </rPr>
      <t>[14]</t>
    </r>
  </si>
  <si>
    <t>[3] Aplicación de herbicida: Con bomba y uso de campana para proteger la planta.</t>
  </si>
  <si>
    <t xml:space="preserve">[5] Re-siembra: Re- siembra de las plántulas que no crecieron. </t>
  </si>
  <si>
    <t>[6] Abonamiento: Se calculó a 3 onzas por planta, 2 veces por ciclo (45 días y luego 3 meses después).</t>
  </si>
  <si>
    <t>[7] Desyerbo de corona: Se estima realizar la practica 4 veces durante la cosecha.</t>
  </si>
  <si>
    <t>[8] Cosecha: Producción promedio de 4 lbs. por planta por ciclo con un 15% de pérdidas en producción. Cada 100 lbs. se recoge en 2 horas.  Incluye empaque y mercadeo.</t>
  </si>
  <si>
    <t>[9] Servicio de Propagación: Se paga a una persona para que realice el proceso de germinación. Se paga por plántula.</t>
  </si>
  <si>
    <t>[14] Obligaciones patronales: El 0.25 del total de gasto de mano de obra.</t>
  </si>
  <si>
    <t>Rendimiento por cuerda (quintales)</t>
  </si>
  <si>
    <t xml:space="preserve">[10] Ferti-riego: Abono soluble 11-11-40 a razón de 7 lbs. por tanque de 25 gals. de agua </t>
  </si>
  <si>
    <t>Puede editar los espacios de las celdas color gris.</t>
  </si>
  <si>
    <t xml:space="preserve">[11] Plaguicida:  Luego de una integracion de manejo de plagas los plaguicidas recomendados estarán basados en el umbral de daños economicos al cultivo, dependerán del sistema de siembra y el nivel de infestacion en la plantacion.   </t>
  </si>
  <si>
    <t>[4] Siembra: Se estima que cada planta toma 15 segundos plantarla.</t>
  </si>
  <si>
    <t>"THIS MATERIAL IS BASED UPON WORK SUPPORTED BY U.S. DEPARTMENT OF AGRICULTURE, OFFICE OF ADVOCACY AN OUTREACH UNDER AWARD NUMBER: USDA-OAO: 59-2501-14-0041"</t>
  </si>
  <si>
    <t>UNIVERSIDAD DE PURTO RICO</t>
  </si>
  <si>
    <t>RECINTO UNIVERSITARIO DE MAYAGÜEZ</t>
  </si>
  <si>
    <t>COLEGIO DE CIENCIAS AGRÍCOLAS</t>
  </si>
  <si>
    <t xml:space="preserve">AVISO: Los Presupuestos Modelos presentan la información de los ingresos y gastos bajo condiciones normales y características particulares de una finca.  La Universidad de Puerto Rico no asume responsabilidad por los resultados si los ingresos y gastos de una empresa en particular difieren de dicha publicación. El usuario de estos modelos releva a la Universidad de Puerto Rico de toda responsabilidad, reclamación, pérdida, daño o costo relacionado o surgido por el uso de estos modelos. </t>
  </si>
  <si>
    <t>Rendimiento por Planta (el promedio es de 5 lbs. por planta)</t>
  </si>
  <si>
    <t>[16] Los gastos estimados son un promedio entre agricultores que utilizan intensivamente maquinaria y mano de obra.</t>
  </si>
  <si>
    <t>PARTIDA</t>
  </si>
  <si>
    <t>VALOR</t>
  </si>
  <si>
    <t>MI FINCA</t>
  </si>
  <si>
    <t>Número de Cuerdas</t>
  </si>
  <si>
    <t>Gasto Total</t>
  </si>
  <si>
    <t>Ingreso Neto</t>
  </si>
  <si>
    <t>Producción Mínima</t>
  </si>
  <si>
    <r>
      <t>Número de Plantas por Cuerda para una distancia de 2'x3' (dependerá de la distancia de siembra y maquinaria)</t>
    </r>
    <r>
      <rPr>
        <vertAlign val="superscript"/>
        <sz val="12"/>
        <color rgb="FF000000"/>
        <rFont val="Times New Roman"/>
        <family val="1"/>
      </rPr>
      <t>[1]</t>
    </r>
  </si>
  <si>
    <t>Mi Finca</t>
  </si>
  <si>
    <t xml:space="preserve">Mi Finca </t>
  </si>
  <si>
    <t>Fecha de revisión: 7 de junio de 2017</t>
  </si>
  <si>
    <t xml:space="preserve">[1] Se recomienda distancia de siembra a 3 a 6 pies entre hileras y 2 entre plantas.  Una distancia de 2'x3' resulta en 7,000 plantas, en distancias mayores el número de plantas se reduce.  Las distancias de siembra dependerán de la maquinaria a utilisarze en la finca. </t>
  </si>
  <si>
    <t>[2] Gasto de Maquinaria:  Incluye la preparación del terreno y bancos con plástico y riego. Se estimó el valor tomando en consideración una máquina que instala los plásticos y el riego. Si esta práctica fuera a ser realizada a mano se estima un total de $200 en mano de obra adicionales.</t>
  </si>
  <si>
    <t>[12] Sistema de riego:  Incluye mangas de cabezal, mangas de riego y conectores.</t>
  </si>
  <si>
    <t>[13] Misceláneos: Administración, supervisión e imprevistos, seguridad y seguros.</t>
  </si>
  <si>
    <r>
      <t xml:space="preserve">Venta de ají dulce </t>
    </r>
    <r>
      <rPr>
        <vertAlign val="superscript"/>
        <sz val="12"/>
        <color rgb="FF000000"/>
        <rFont val="Times New Roman"/>
        <family val="1"/>
      </rPr>
      <t>[15]</t>
    </r>
  </si>
  <si>
    <t>[15] Venta: Con rendimientos de 5 lbs. por planta, para editar el rendimiento tiene que modificar el número de plantas por cuerda y libras por planta en la parte superior.</t>
  </si>
  <si>
    <r>
      <t>Gastos Totales</t>
    </r>
    <r>
      <rPr>
        <vertAlign val="superscript"/>
        <sz val="12"/>
        <color rgb="FF000000"/>
        <rFont val="Times New Roman"/>
        <family val="1"/>
      </rPr>
      <t>[16]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</si>
</sst>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>
    <font>
      <sz val="12"/>
      <color theme="1"/>
      <name val="Times New Roman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b/>
      <vertAlign val="superscript"/>
      <sz val="12"/>
      <color rgb="FF000000"/>
      <name val="Times New Roman"/>
      <family val="1"/>
    </font>
    <font>
      <u val="single"/>
      <sz val="12"/>
      <color theme="10"/>
      <name val="Times New Roman"/>
      <family val="2"/>
    </font>
    <font>
      <u val="single"/>
      <sz val="12"/>
      <color theme="11"/>
      <name val="Times New Roman"/>
      <family val="2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4"/>
      <color rgb="FF000000"/>
      <name val="Times New Roman"/>
      <family val="1"/>
    </font>
    <font>
      <sz val="13.5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 vertical="center"/>
      <protection locked="0"/>
    </xf>
    <xf numFmtId="9" fontId="2" fillId="2" borderId="2" xfId="0" applyNumberFormat="1" applyFont="1" applyFill="1" applyBorder="1" applyAlignment="1" applyProtection="1">
      <alignment horizontal="center" vertical="center"/>
      <protection locked="0"/>
    </xf>
    <xf numFmtId="9" fontId="2" fillId="2" borderId="2" xfId="15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center" vertical="center"/>
    </xf>
    <xf numFmtId="3" fontId="2" fillId="2" borderId="2" xfId="18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horizontal="right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right" vertical="center"/>
    </xf>
    <xf numFmtId="164" fontId="2" fillId="2" borderId="19" xfId="0" applyNumberFormat="1" applyFont="1" applyFill="1" applyBorder="1" applyAlignment="1" applyProtection="1">
      <alignment horizontal="right" vertical="center"/>
      <protection locked="0"/>
    </xf>
    <xf numFmtId="164" fontId="3" fillId="0" borderId="19" xfId="0" applyNumberFormat="1" applyFont="1" applyFill="1" applyBorder="1" applyAlignment="1">
      <alignment horizontal="right" vertical="center"/>
    </xf>
    <xf numFmtId="164" fontId="2" fillId="0" borderId="19" xfId="0" applyNumberFormat="1" applyFont="1" applyFill="1" applyBorder="1" applyAlignment="1" applyProtection="1">
      <alignment horizontal="right" vertical="center"/>
      <protection/>
    </xf>
    <xf numFmtId="164" fontId="3" fillId="0" borderId="20" xfId="0" applyNumberFormat="1" applyFont="1" applyFill="1" applyBorder="1" applyAlignment="1" applyProtection="1">
      <alignment horizontal="right" vertical="center"/>
      <protection/>
    </xf>
    <xf numFmtId="164" fontId="3" fillId="0" borderId="21" xfId="0" applyNumberFormat="1" applyFont="1" applyFill="1" applyBorder="1" applyAlignment="1">
      <alignment horizontal="right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vertical="center"/>
    </xf>
    <xf numFmtId="164" fontId="8" fillId="0" borderId="13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vertical="center"/>
    </xf>
    <xf numFmtId="44" fontId="11" fillId="0" borderId="0" xfId="16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0" borderId="0" xfId="30" applyFill="1" applyAlignment="1">
      <alignment horizontal="left" vertical="center" wrapText="1"/>
    </xf>
    <xf numFmtId="164" fontId="6" fillId="0" borderId="0" xfId="30" applyNumberForma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1025" name="AutoShape 1" descr="Image result for UPRM"/>
        <xdr:cNvSpPr>
          <a:spLocks noChangeAspect="1" noChangeArrowheads="1"/>
        </xdr:cNvSpPr>
      </xdr:nvSpPr>
      <xdr:spPr bwMode="auto">
        <a:xfrm>
          <a:off x="9505950" y="1276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19050</xdr:rowOff>
    </xdr:from>
    <xdr:to>
      <xdr:col>0</xdr:col>
      <xdr:colOff>1143000</xdr:colOff>
      <xdr:row>5</xdr:row>
      <xdr:rowOff>0</xdr:rowOff>
    </xdr:to>
    <xdr:pic>
      <xdr:nvPicPr>
        <xdr:cNvPr id="3" name="Picture 2" descr="Image result for UPRM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19050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0"/>
  <sheetViews>
    <sheetView tabSelected="1" zoomScale="150" zoomScaleNormal="150" zoomScalePageLayoutView="150" workbookViewId="0" topLeftCell="A61">
      <selection activeCell="B6" sqref="B6"/>
    </sheetView>
  </sheetViews>
  <sheetFormatPr defaultColWidth="8.875" defaultRowHeight="15.75"/>
  <cols>
    <col min="1" max="1" width="58.875" style="3" customWidth="1"/>
    <col min="2" max="2" width="16.875" style="12" customWidth="1"/>
    <col min="3" max="3" width="8.875" style="12" customWidth="1"/>
    <col min="4" max="4" width="13.875" style="15" bestFit="1" customWidth="1"/>
    <col min="5" max="5" width="15.125" style="18" bestFit="1" customWidth="1"/>
    <col min="6" max="6" width="11.125" style="3" customWidth="1"/>
    <col min="7" max="16384" width="8.875" style="3" customWidth="1"/>
  </cols>
  <sheetData>
    <row r="1" spans="1:5" ht="15.75">
      <c r="A1" s="116" t="s">
        <v>75</v>
      </c>
      <c r="B1" s="116"/>
      <c r="C1" s="116"/>
      <c r="D1" s="116"/>
      <c r="E1" s="116"/>
    </row>
    <row r="2" spans="1:5" ht="15.75">
      <c r="A2" s="116" t="s">
        <v>76</v>
      </c>
      <c r="B2" s="116"/>
      <c r="C2" s="116"/>
      <c r="D2" s="116"/>
      <c r="E2" s="116"/>
    </row>
    <row r="3" spans="1:5" ht="15.75">
      <c r="A3" s="116" t="s">
        <v>77</v>
      </c>
      <c r="B3" s="116"/>
      <c r="C3" s="116"/>
      <c r="D3" s="116"/>
      <c r="E3" s="116"/>
    </row>
    <row r="4" ht="15.75"/>
    <row r="5" spans="1:9" ht="18.75">
      <c r="A5" s="117" t="s">
        <v>48</v>
      </c>
      <c r="B5" s="117"/>
      <c r="C5" s="117"/>
      <c r="D5" s="117"/>
      <c r="E5" s="117"/>
      <c r="F5" s="1"/>
      <c r="G5" s="1"/>
      <c r="H5" s="2"/>
      <c r="I5" s="2"/>
    </row>
    <row r="6" spans="1:9" ht="18.75">
      <c r="A6" s="48"/>
      <c r="B6" s="96"/>
      <c r="C6" s="48"/>
      <c r="D6" s="48"/>
      <c r="E6" s="48"/>
      <c r="F6" s="1"/>
      <c r="G6" s="1"/>
      <c r="H6" s="2"/>
      <c r="I6" s="2"/>
    </row>
    <row r="7" spans="1:9" ht="18.75">
      <c r="A7" s="49" t="s">
        <v>71</v>
      </c>
      <c r="B7" s="48"/>
      <c r="C7" s="48"/>
      <c r="D7" s="48"/>
      <c r="E7" s="48"/>
      <c r="F7" s="1"/>
      <c r="G7"/>
      <c r="H7"/>
      <c r="I7" s="2"/>
    </row>
    <row r="8" spans="1:9" ht="15.75">
      <c r="A8" s="4"/>
      <c r="B8" s="5"/>
      <c r="C8" s="5"/>
      <c r="D8" s="13"/>
      <c r="E8" s="16"/>
      <c r="F8" s="1"/>
      <c r="G8" s="1"/>
      <c r="H8" s="2"/>
      <c r="I8" s="2"/>
    </row>
    <row r="9" spans="1:9" ht="15.75">
      <c r="A9" s="118" t="s">
        <v>30</v>
      </c>
      <c r="B9" s="119"/>
      <c r="C9" s="119"/>
      <c r="D9" s="13"/>
      <c r="E9" s="16"/>
      <c r="F9" s="1"/>
      <c r="G9" s="1"/>
      <c r="H9" s="2"/>
      <c r="I9" s="2"/>
    </row>
    <row r="10" spans="1:9" ht="18.75">
      <c r="A10" s="103" t="s">
        <v>88</v>
      </c>
      <c r="B10" s="103"/>
      <c r="C10" s="103"/>
      <c r="D10" s="103"/>
      <c r="E10" s="62">
        <v>7000</v>
      </c>
      <c r="F10" s="1"/>
      <c r="G10" s="1"/>
      <c r="H10" s="2"/>
      <c r="I10" s="2"/>
    </row>
    <row r="11" spans="1:9" ht="15.75">
      <c r="A11" s="103" t="s">
        <v>79</v>
      </c>
      <c r="B11" s="103"/>
      <c r="C11" s="103"/>
      <c r="D11" s="103"/>
      <c r="E11" s="37">
        <v>5</v>
      </c>
      <c r="F11" s="1"/>
      <c r="G11" s="1"/>
      <c r="H11" s="2"/>
      <c r="I11" s="2"/>
    </row>
    <row r="12" spans="1:9" ht="15.75">
      <c r="A12" s="103" t="s">
        <v>69</v>
      </c>
      <c r="B12" s="103"/>
      <c r="C12" s="103"/>
      <c r="D12" s="103"/>
      <c r="E12" s="23">
        <f>(E11*E10)/100</f>
        <v>350</v>
      </c>
      <c r="F12" s="1"/>
      <c r="G12" s="1"/>
      <c r="H12" s="2"/>
      <c r="I12" s="2"/>
    </row>
    <row r="13" spans="1:9" ht="15.75">
      <c r="A13" s="4"/>
      <c r="B13" s="5"/>
      <c r="C13" s="5"/>
      <c r="D13" s="13"/>
      <c r="E13" s="16"/>
      <c r="F13" s="1"/>
      <c r="G13" s="1"/>
      <c r="H13" s="2"/>
      <c r="I13" s="2"/>
    </row>
    <row r="14" spans="1:9" ht="15.75">
      <c r="A14" s="4"/>
      <c r="B14" s="5"/>
      <c r="C14" s="5"/>
      <c r="D14" s="13"/>
      <c r="E14" s="3"/>
      <c r="F14" s="1"/>
      <c r="G14" s="1"/>
      <c r="H14" s="2"/>
      <c r="I14" s="2"/>
    </row>
    <row r="15" spans="1:9" ht="15.75">
      <c r="A15" s="104" t="s">
        <v>31</v>
      </c>
      <c r="B15" s="105"/>
      <c r="C15" s="105"/>
      <c r="D15" s="105"/>
      <c r="E15" s="105"/>
      <c r="F15" s="105"/>
      <c r="G15" s="1"/>
      <c r="H15" s="2"/>
      <c r="I15" s="2"/>
    </row>
    <row r="16" spans="1:9" ht="15.75">
      <c r="A16" s="50" t="s">
        <v>0</v>
      </c>
      <c r="B16" s="53" t="s">
        <v>1</v>
      </c>
      <c r="C16" s="53" t="s">
        <v>2</v>
      </c>
      <c r="D16" s="59" t="s">
        <v>3</v>
      </c>
      <c r="E16" s="59" t="s">
        <v>4</v>
      </c>
      <c r="F16" s="66" t="s">
        <v>89</v>
      </c>
      <c r="G16" s="1"/>
      <c r="H16" s="2"/>
      <c r="I16" s="2"/>
    </row>
    <row r="17" spans="1:9" ht="18.75">
      <c r="A17" s="50" t="s">
        <v>49</v>
      </c>
      <c r="B17" s="23" t="s">
        <v>5</v>
      </c>
      <c r="C17" s="37">
        <v>10</v>
      </c>
      <c r="D17" s="38">
        <v>50</v>
      </c>
      <c r="E17" s="51">
        <v>500</v>
      </c>
      <c r="F17" s="67">
        <f>-500+E17</f>
        <v>0</v>
      </c>
      <c r="G17" s="1"/>
      <c r="H17" s="2"/>
      <c r="I17" s="2"/>
    </row>
    <row r="18" spans="1:9" ht="15.75">
      <c r="A18" s="68"/>
      <c r="B18" s="23"/>
      <c r="C18" s="35"/>
      <c r="D18" s="36"/>
      <c r="E18" s="69"/>
      <c r="F18" s="70"/>
      <c r="G18" s="1"/>
      <c r="H18" s="2"/>
      <c r="I18" s="2"/>
    </row>
    <row r="19" spans="1:9" ht="15.75">
      <c r="A19" s="50" t="s">
        <v>6</v>
      </c>
      <c r="B19" s="35"/>
      <c r="C19" s="35"/>
      <c r="D19" s="36"/>
      <c r="E19" s="69"/>
      <c r="F19" s="70"/>
      <c r="G19" s="1"/>
      <c r="H19" s="2"/>
      <c r="I19" s="2"/>
    </row>
    <row r="20" spans="1:9" ht="18.75">
      <c r="A20" s="68" t="s">
        <v>50</v>
      </c>
      <c r="B20" s="23" t="s">
        <v>5</v>
      </c>
      <c r="C20" s="37">
        <v>10</v>
      </c>
      <c r="D20" s="38">
        <v>7.25</v>
      </c>
      <c r="E20" s="69">
        <f aca="true" t="shared" si="0" ref="E20:E23">C20*D20</f>
        <v>72.5</v>
      </c>
      <c r="F20" s="67">
        <f>-72.5+E20</f>
        <v>0</v>
      </c>
      <c r="G20" s="1"/>
      <c r="H20" s="2"/>
      <c r="I20" s="2"/>
    </row>
    <row r="21" spans="1:9" ht="18.75">
      <c r="A21" s="68" t="s">
        <v>51</v>
      </c>
      <c r="B21" s="23" t="s">
        <v>5</v>
      </c>
      <c r="C21" s="37">
        <v>25</v>
      </c>
      <c r="D21" s="38">
        <v>7.25</v>
      </c>
      <c r="E21" s="69">
        <f t="shared" si="0"/>
        <v>181.25</v>
      </c>
      <c r="F21" s="67">
        <f>-181.25+E21</f>
        <v>0</v>
      </c>
      <c r="G21" s="1"/>
      <c r="H21" s="2"/>
      <c r="I21" s="2"/>
    </row>
    <row r="22" spans="1:9" ht="18.75">
      <c r="A22" s="68" t="s">
        <v>52</v>
      </c>
      <c r="B22" s="23" t="s">
        <v>5</v>
      </c>
      <c r="C22" s="37">
        <v>10</v>
      </c>
      <c r="D22" s="38">
        <v>7.25</v>
      </c>
      <c r="E22" s="69">
        <f t="shared" si="0"/>
        <v>72.5</v>
      </c>
      <c r="F22" s="67">
        <f>-72.5+E22</f>
        <v>0</v>
      </c>
      <c r="G22" s="1"/>
      <c r="H22" s="2"/>
      <c r="I22" s="2"/>
    </row>
    <row r="23" spans="1:9" ht="18.75">
      <c r="A23" s="68" t="s">
        <v>53</v>
      </c>
      <c r="B23" s="23" t="s">
        <v>5</v>
      </c>
      <c r="C23" s="37">
        <v>30</v>
      </c>
      <c r="D23" s="38">
        <v>7.25</v>
      </c>
      <c r="E23" s="69">
        <f t="shared" si="0"/>
        <v>217.5</v>
      </c>
      <c r="F23" s="67">
        <f>-217.5+E23</f>
        <v>0</v>
      </c>
      <c r="G23" s="1"/>
      <c r="H23" s="2"/>
      <c r="I23" s="2"/>
    </row>
    <row r="24" spans="1:9" ht="18.75">
      <c r="A24" s="68" t="s">
        <v>54</v>
      </c>
      <c r="B24" s="23" t="s">
        <v>5</v>
      </c>
      <c r="C24" s="37">
        <v>30</v>
      </c>
      <c r="D24" s="38">
        <v>7.25</v>
      </c>
      <c r="E24" s="69">
        <f>C24*D24</f>
        <v>217.5</v>
      </c>
      <c r="F24" s="67">
        <f>-217.5+E24</f>
        <v>0</v>
      </c>
      <c r="G24" s="1"/>
      <c r="H24" s="2"/>
      <c r="I24" s="2"/>
    </row>
    <row r="25" spans="1:9" ht="15.75">
      <c r="A25" s="68" t="s">
        <v>7</v>
      </c>
      <c r="B25" s="23" t="s">
        <v>5</v>
      </c>
      <c r="C25" s="37">
        <v>30</v>
      </c>
      <c r="D25" s="38">
        <v>7.25</v>
      </c>
      <c r="E25" s="69">
        <f aca="true" t="shared" si="1" ref="E25:E27">C25*D25</f>
        <v>217.5</v>
      </c>
      <c r="F25" s="67">
        <f>-217.5+E25</f>
        <v>0</v>
      </c>
      <c r="G25" s="1"/>
      <c r="H25" s="2"/>
      <c r="I25" s="2"/>
    </row>
    <row r="26" spans="1:9" ht="15.75">
      <c r="A26" s="68" t="s">
        <v>8</v>
      </c>
      <c r="B26" s="23" t="s">
        <v>5</v>
      </c>
      <c r="C26" s="37">
        <v>15</v>
      </c>
      <c r="D26" s="38">
        <v>7.25</v>
      </c>
      <c r="E26" s="69">
        <f t="shared" si="1"/>
        <v>108.75</v>
      </c>
      <c r="F26" s="67">
        <f>-108.75+E26</f>
        <v>0</v>
      </c>
      <c r="G26" s="1"/>
      <c r="H26" s="2"/>
      <c r="I26" s="2"/>
    </row>
    <row r="27" spans="1:9" ht="18.75">
      <c r="A27" s="68" t="s">
        <v>55</v>
      </c>
      <c r="B27" s="23" t="s">
        <v>5</v>
      </c>
      <c r="C27" s="37">
        <v>350</v>
      </c>
      <c r="D27" s="38">
        <v>7.25</v>
      </c>
      <c r="E27" s="69">
        <f t="shared" si="1"/>
        <v>2537.5</v>
      </c>
      <c r="F27" s="67">
        <f>-2537.5+E27</f>
        <v>0</v>
      </c>
      <c r="G27" s="1"/>
      <c r="H27" s="2"/>
      <c r="I27" s="2"/>
    </row>
    <row r="28" spans="1:9" ht="15.75">
      <c r="A28" s="109" t="s">
        <v>9</v>
      </c>
      <c r="B28" s="109"/>
      <c r="C28" s="109"/>
      <c r="D28" s="109"/>
      <c r="E28" s="51">
        <f>SUM(E20:E27)</f>
        <v>3625</v>
      </c>
      <c r="F28" s="67">
        <f>3625-E28</f>
        <v>0</v>
      </c>
      <c r="G28" s="1"/>
      <c r="H28" s="2"/>
      <c r="I28" s="2"/>
    </row>
    <row r="29" spans="1:9" ht="15.75">
      <c r="A29" s="63"/>
      <c r="B29" s="64"/>
      <c r="C29" s="64"/>
      <c r="D29" s="65"/>
      <c r="E29" s="71"/>
      <c r="F29" s="70"/>
      <c r="G29" s="1"/>
      <c r="H29" s="2"/>
      <c r="I29" s="2"/>
    </row>
    <row r="30" spans="1:9" ht="15.75">
      <c r="A30" s="25" t="s">
        <v>10</v>
      </c>
      <c r="B30" s="24" t="s">
        <v>1</v>
      </c>
      <c r="C30" s="24" t="s">
        <v>2</v>
      </c>
      <c r="D30" s="31" t="s">
        <v>3</v>
      </c>
      <c r="E30" s="72" t="s">
        <v>4</v>
      </c>
      <c r="F30" s="66" t="s">
        <v>90</v>
      </c>
      <c r="G30" s="1"/>
      <c r="H30" s="2"/>
      <c r="I30" s="2"/>
    </row>
    <row r="31" spans="1:9" ht="15.75">
      <c r="A31" s="26" t="s">
        <v>11</v>
      </c>
      <c r="B31" s="23" t="s">
        <v>12</v>
      </c>
      <c r="C31" s="37">
        <v>4</v>
      </c>
      <c r="D31" s="36"/>
      <c r="E31" s="73">
        <v>40</v>
      </c>
      <c r="F31" s="67">
        <f>-40+E31</f>
        <v>0</v>
      </c>
      <c r="G31" s="1"/>
      <c r="H31" s="2"/>
      <c r="I31" s="2"/>
    </row>
    <row r="32" spans="1:9" ht="18.75">
      <c r="A32" s="26" t="s">
        <v>56</v>
      </c>
      <c r="B32" s="23" t="s">
        <v>13</v>
      </c>
      <c r="C32" s="39">
        <v>7000</v>
      </c>
      <c r="D32" s="38">
        <v>0.12</v>
      </c>
      <c r="E32" s="73">
        <f>C32*D32</f>
        <v>840</v>
      </c>
      <c r="F32" s="67">
        <f>-840+E32</f>
        <v>0</v>
      </c>
      <c r="G32" s="1"/>
      <c r="H32" s="2"/>
      <c r="I32" s="2"/>
    </row>
    <row r="33" spans="1:9" ht="15.75">
      <c r="A33" s="26" t="s">
        <v>14</v>
      </c>
      <c r="B33" s="23" t="s">
        <v>15</v>
      </c>
      <c r="C33" s="37">
        <v>28</v>
      </c>
      <c r="D33" s="38">
        <v>25</v>
      </c>
      <c r="E33" s="73">
        <f aca="true" t="shared" si="2" ref="E33:E36">C33*D33</f>
        <v>700</v>
      </c>
      <c r="F33" s="67">
        <f>-700+E33</f>
        <v>0</v>
      </c>
      <c r="G33" s="1"/>
      <c r="H33" s="2"/>
      <c r="I33" s="2"/>
    </row>
    <row r="34" spans="1:9" ht="18.75">
      <c r="A34" s="26" t="s">
        <v>57</v>
      </c>
      <c r="B34" s="23" t="s">
        <v>16</v>
      </c>
      <c r="C34" s="37">
        <v>50</v>
      </c>
      <c r="D34" s="38">
        <v>1.2</v>
      </c>
      <c r="E34" s="73">
        <f t="shared" si="2"/>
        <v>60</v>
      </c>
      <c r="F34" s="67">
        <f>-60+E34</f>
        <v>0</v>
      </c>
      <c r="G34" s="1"/>
      <c r="H34" s="2"/>
      <c r="I34" s="2"/>
    </row>
    <row r="35" spans="1:9" ht="15.75">
      <c r="A35" s="26" t="s">
        <v>17</v>
      </c>
      <c r="B35" s="23" t="s">
        <v>18</v>
      </c>
      <c r="C35" s="37">
        <v>2</v>
      </c>
      <c r="D35" s="38">
        <v>20</v>
      </c>
      <c r="E35" s="73">
        <f t="shared" si="2"/>
        <v>40</v>
      </c>
      <c r="F35" s="67">
        <f>-40+E35</f>
        <v>0</v>
      </c>
      <c r="G35" s="1"/>
      <c r="H35" s="2"/>
      <c r="I35" s="2"/>
    </row>
    <row r="36" spans="1:9" ht="15.75">
      <c r="A36" s="26" t="s">
        <v>19</v>
      </c>
      <c r="B36" s="23" t="s">
        <v>20</v>
      </c>
      <c r="C36" s="37">
        <v>2</v>
      </c>
      <c r="D36" s="38">
        <v>60</v>
      </c>
      <c r="E36" s="73">
        <f t="shared" si="2"/>
        <v>120</v>
      </c>
      <c r="F36" s="67">
        <f>-120+E36</f>
        <v>0</v>
      </c>
      <c r="G36" s="1"/>
      <c r="H36" s="2"/>
      <c r="I36" s="2"/>
    </row>
    <row r="37" spans="1:9" ht="18.75">
      <c r="A37" s="26" t="s">
        <v>58</v>
      </c>
      <c r="B37" s="23"/>
      <c r="C37" s="23"/>
      <c r="D37" s="28"/>
      <c r="E37" s="74">
        <v>500</v>
      </c>
      <c r="F37" s="67">
        <f>-500+E37</f>
        <v>0</v>
      </c>
      <c r="G37" s="1"/>
      <c r="H37" s="2"/>
      <c r="I37" s="2"/>
    </row>
    <row r="38" spans="1:9" ht="18.75">
      <c r="A38" s="26" t="s">
        <v>59</v>
      </c>
      <c r="B38" s="23"/>
      <c r="C38" s="23"/>
      <c r="D38" s="28"/>
      <c r="E38" s="74">
        <v>500</v>
      </c>
      <c r="F38" s="67">
        <f>-500+E38</f>
        <v>0</v>
      </c>
      <c r="G38" s="1"/>
      <c r="H38" s="2"/>
      <c r="I38" s="2"/>
    </row>
    <row r="39" spans="1:9" ht="15.75">
      <c r="A39" s="26" t="s">
        <v>21</v>
      </c>
      <c r="B39" s="23"/>
      <c r="C39" s="23"/>
      <c r="D39" s="28"/>
      <c r="E39" s="74">
        <v>250</v>
      </c>
      <c r="F39" s="67">
        <f>-250+E39</f>
        <v>0</v>
      </c>
      <c r="G39" s="1"/>
      <c r="H39" s="2"/>
      <c r="I39" s="2"/>
    </row>
    <row r="40" spans="1:9" ht="15.75">
      <c r="A40" s="26" t="s">
        <v>22</v>
      </c>
      <c r="B40" s="23" t="s">
        <v>13</v>
      </c>
      <c r="C40" s="37">
        <v>600</v>
      </c>
      <c r="D40" s="38">
        <v>0.3</v>
      </c>
      <c r="E40" s="73">
        <f>C40*D40</f>
        <v>180</v>
      </c>
      <c r="F40" s="67">
        <f>-180+E40</f>
        <v>0</v>
      </c>
      <c r="G40" s="1"/>
      <c r="H40" s="2"/>
      <c r="I40" s="2"/>
    </row>
    <row r="41" spans="1:9" ht="15.75">
      <c r="A41" s="110" t="s">
        <v>23</v>
      </c>
      <c r="B41" s="111"/>
      <c r="C41" s="111"/>
      <c r="D41" s="112"/>
      <c r="E41" s="75">
        <f>SUM(E31:E40)</f>
        <v>3230</v>
      </c>
      <c r="F41" s="67">
        <f>-3230+E41</f>
        <v>0</v>
      </c>
      <c r="G41" s="1"/>
      <c r="H41" s="2"/>
      <c r="I41" s="2"/>
    </row>
    <row r="42" spans="1:9" ht="15.75">
      <c r="A42" s="26"/>
      <c r="B42" s="23"/>
      <c r="C42" s="23"/>
      <c r="D42" s="28"/>
      <c r="E42" s="73"/>
      <c r="F42" s="70"/>
      <c r="G42" s="1"/>
      <c r="H42" s="2"/>
      <c r="I42" s="2"/>
    </row>
    <row r="43" spans="1:9" ht="15.75">
      <c r="A43" s="25" t="s">
        <v>24</v>
      </c>
      <c r="B43" s="24" t="s">
        <v>1</v>
      </c>
      <c r="C43" s="24" t="s">
        <v>2</v>
      </c>
      <c r="D43" s="31" t="s">
        <v>3</v>
      </c>
      <c r="E43" s="72" t="s">
        <v>4</v>
      </c>
      <c r="F43" s="70"/>
      <c r="G43" s="1"/>
      <c r="H43" s="2"/>
      <c r="I43" s="2"/>
    </row>
    <row r="44" spans="1:9" ht="15.75">
      <c r="A44" s="26" t="s">
        <v>25</v>
      </c>
      <c r="B44" s="23"/>
      <c r="C44" s="23"/>
      <c r="D44" s="28"/>
      <c r="E44" s="74">
        <v>100</v>
      </c>
      <c r="F44" s="79">
        <f>-100+E44</f>
        <v>0</v>
      </c>
      <c r="G44" s="1"/>
      <c r="H44" s="2"/>
      <c r="I44" s="2"/>
    </row>
    <row r="45" spans="1:9" ht="15.75">
      <c r="A45" s="27" t="s">
        <v>29</v>
      </c>
      <c r="B45" s="23"/>
      <c r="C45" s="23"/>
      <c r="D45" s="28"/>
      <c r="E45" s="74">
        <v>100</v>
      </c>
      <c r="F45" s="79">
        <f>-100+E45</f>
        <v>0</v>
      </c>
      <c r="G45" s="1"/>
      <c r="H45" s="2"/>
      <c r="I45" s="2"/>
    </row>
    <row r="46" spans="1:9" ht="18.75">
      <c r="A46" s="26" t="s">
        <v>60</v>
      </c>
      <c r="B46" s="23"/>
      <c r="C46" s="23"/>
      <c r="D46" s="28"/>
      <c r="E46" s="74">
        <v>869.13</v>
      </c>
      <c r="F46" s="79">
        <f>-869.13+E46</f>
        <v>0</v>
      </c>
      <c r="G46" s="1"/>
      <c r="H46" s="2"/>
      <c r="I46" s="2"/>
    </row>
    <row r="47" spans="1:9" ht="18.75">
      <c r="A47" s="26" t="s">
        <v>61</v>
      </c>
      <c r="B47" s="41">
        <v>0.25</v>
      </c>
      <c r="C47" s="23"/>
      <c r="D47" s="28"/>
      <c r="E47" s="76">
        <f>B47*E28</f>
        <v>906.25</v>
      </c>
      <c r="F47" s="79">
        <f>-906.25+E47</f>
        <v>0</v>
      </c>
      <c r="G47" s="1"/>
      <c r="H47" s="2"/>
      <c r="I47" s="2"/>
    </row>
    <row r="48" spans="1:9" ht="15.75">
      <c r="A48" s="26" t="s">
        <v>28</v>
      </c>
      <c r="B48" s="40">
        <v>0.09</v>
      </c>
      <c r="C48" s="23"/>
      <c r="D48" s="28"/>
      <c r="E48" s="76">
        <f>(E47+E46+E45+E44+E41+E28+E17)*B48</f>
        <v>839.7342000000001</v>
      </c>
      <c r="F48" s="28">
        <f>-839.73+E48</f>
        <v>0.004200000000082582</v>
      </c>
      <c r="G48" s="6"/>
      <c r="H48" s="2"/>
      <c r="I48" s="2"/>
    </row>
    <row r="49" spans="1:9" ht="16.5" thickBot="1">
      <c r="A49" s="113" t="s">
        <v>26</v>
      </c>
      <c r="B49" s="114"/>
      <c r="C49" s="114"/>
      <c r="D49" s="115"/>
      <c r="E49" s="77">
        <f>SUM(E44:E48)</f>
        <v>2815.1142</v>
      </c>
      <c r="F49" s="80">
        <f>-2815.11+E49</f>
        <v>0.0041999999998552084</v>
      </c>
      <c r="G49" s="1"/>
      <c r="H49" s="2"/>
      <c r="I49" s="2"/>
    </row>
    <row r="50" spans="1:9" ht="16.5" thickBot="1">
      <c r="A50" s="106" t="s">
        <v>32</v>
      </c>
      <c r="B50" s="107"/>
      <c r="C50" s="107"/>
      <c r="D50" s="108"/>
      <c r="E50" s="78">
        <f>E49+E41+E28+E17</f>
        <v>10170.1142</v>
      </c>
      <c r="F50" s="81">
        <f>-10170.11+E50</f>
        <v>0.004199999999400461</v>
      </c>
      <c r="G50" s="1"/>
      <c r="H50" s="2"/>
      <c r="I50" s="2"/>
    </row>
    <row r="51" spans="1:9" ht="16.5" thickBot="1">
      <c r="A51" s="21"/>
      <c r="B51" s="5"/>
      <c r="C51" s="5"/>
      <c r="D51" s="13"/>
      <c r="E51" s="16"/>
      <c r="F51" s="1"/>
      <c r="G51" s="1"/>
      <c r="H51" s="2"/>
      <c r="I51" s="2"/>
    </row>
    <row r="52" spans="1:9" ht="16.5" thickBot="1">
      <c r="A52" s="44" t="s">
        <v>34</v>
      </c>
      <c r="B52" s="45" t="s">
        <v>1</v>
      </c>
      <c r="C52" s="45" t="s">
        <v>2</v>
      </c>
      <c r="D52" s="45" t="s">
        <v>40</v>
      </c>
      <c r="E52" s="45" t="s">
        <v>41</v>
      </c>
      <c r="F52" s="86" t="s">
        <v>90</v>
      </c>
      <c r="G52" s="1"/>
      <c r="H52" s="2"/>
      <c r="I52" s="2"/>
    </row>
    <row r="53" spans="1:9" ht="18.75">
      <c r="A53" s="63" t="s">
        <v>96</v>
      </c>
      <c r="B53" s="64" t="s">
        <v>15</v>
      </c>
      <c r="C53" s="64">
        <f>E12</f>
        <v>350</v>
      </c>
      <c r="D53" s="84">
        <v>150</v>
      </c>
      <c r="E53" s="85">
        <f>C53*D53</f>
        <v>52500</v>
      </c>
      <c r="F53" s="93">
        <f>52500-E53</f>
        <v>0</v>
      </c>
      <c r="G53" s="1"/>
      <c r="H53" s="2"/>
      <c r="I53" s="2"/>
    </row>
    <row r="54" spans="1:9" ht="16.5" thickBot="1">
      <c r="A54" s="29" t="s">
        <v>27</v>
      </c>
      <c r="B54" s="30" t="s">
        <v>5</v>
      </c>
      <c r="C54" s="42">
        <f>SUM(C20:C27)</f>
        <v>500</v>
      </c>
      <c r="D54" s="43">
        <v>2.72</v>
      </c>
      <c r="E54" s="82">
        <f>C54*D54</f>
        <v>1360</v>
      </c>
      <c r="F54" s="94">
        <f>1360-E54</f>
        <v>0</v>
      </c>
      <c r="G54" s="1"/>
      <c r="H54" s="2"/>
      <c r="I54" s="2"/>
    </row>
    <row r="55" spans="1:9" ht="16.5" thickBot="1">
      <c r="A55" s="106" t="s">
        <v>36</v>
      </c>
      <c r="B55" s="107"/>
      <c r="C55" s="107"/>
      <c r="D55" s="107"/>
      <c r="E55" s="83">
        <f>E54+E53</f>
        <v>53860</v>
      </c>
      <c r="F55" s="95">
        <f>53860-E55</f>
        <v>0</v>
      </c>
      <c r="G55" s="1"/>
      <c r="H55" s="2"/>
      <c r="I55" s="2"/>
    </row>
    <row r="56" spans="1:9" s="22" customFormat="1" ht="16.5" thickBot="1">
      <c r="A56" s="21"/>
      <c r="B56" s="5"/>
      <c r="C56" s="5"/>
      <c r="D56" s="13"/>
      <c r="E56" s="32"/>
      <c r="F56" s="33"/>
      <c r="G56" s="33"/>
      <c r="H56" s="34"/>
      <c r="I56" s="34"/>
    </row>
    <row r="57" spans="1:9" ht="16.5" thickBot="1">
      <c r="A57" s="120" t="s">
        <v>35</v>
      </c>
      <c r="B57" s="121"/>
      <c r="C57" s="121"/>
      <c r="D57" s="121"/>
      <c r="E57" s="121"/>
      <c r="F57" s="89" t="s">
        <v>89</v>
      </c>
      <c r="G57" s="1"/>
      <c r="H57" s="2"/>
      <c r="I57" s="2"/>
    </row>
    <row r="58" spans="1:9" ht="15.75">
      <c r="A58" s="133" t="s">
        <v>37</v>
      </c>
      <c r="B58" s="134"/>
      <c r="C58" s="134"/>
      <c r="D58" s="134"/>
      <c r="E58" s="88">
        <f>E55</f>
        <v>53860</v>
      </c>
      <c r="F58" s="90">
        <f>53860-E58</f>
        <v>0</v>
      </c>
      <c r="G58" s="1"/>
      <c r="H58" s="2"/>
      <c r="I58" s="2"/>
    </row>
    <row r="59" spans="1:9" ht="18.75">
      <c r="A59" s="135" t="s">
        <v>98</v>
      </c>
      <c r="B59" s="103"/>
      <c r="C59" s="103"/>
      <c r="D59" s="103"/>
      <c r="E59" s="51">
        <f>E50</f>
        <v>10170.1142</v>
      </c>
      <c r="F59" s="91">
        <f>10170.11-E59</f>
        <v>-0.004199999999400461</v>
      </c>
      <c r="G59" s="1"/>
      <c r="H59" s="2"/>
      <c r="I59" s="2"/>
    </row>
    <row r="60" spans="1:9" ht="16.5" thickBot="1">
      <c r="A60" s="131" t="s">
        <v>33</v>
      </c>
      <c r="B60" s="132"/>
      <c r="C60" s="132"/>
      <c r="D60" s="132"/>
      <c r="E60" s="87">
        <f>E58-E59</f>
        <v>43689.885800000004</v>
      </c>
      <c r="F60" s="92">
        <f>43689.89-E60</f>
        <v>0.004199999995762482</v>
      </c>
      <c r="G60" s="1"/>
      <c r="H60" s="2"/>
      <c r="I60" s="2"/>
    </row>
    <row r="61" spans="1:9" ht="16.5" thickBot="1">
      <c r="A61" s="20"/>
      <c r="B61" s="20"/>
      <c r="C61" s="20"/>
      <c r="D61" s="20"/>
      <c r="E61" s="32"/>
      <c r="F61" s="1"/>
      <c r="G61" s="1"/>
      <c r="H61" s="2"/>
      <c r="I61" s="2"/>
    </row>
    <row r="62" spans="1:9" ht="16.5" thickBot="1">
      <c r="A62" s="106" t="s">
        <v>38</v>
      </c>
      <c r="B62" s="107"/>
      <c r="C62" s="107"/>
      <c r="D62" s="107"/>
      <c r="E62" s="60">
        <f>E50/D53</f>
        <v>67.80076133333333</v>
      </c>
      <c r="F62" s="1"/>
      <c r="G62" s="1"/>
      <c r="H62" s="2"/>
      <c r="I62" s="2"/>
    </row>
    <row r="63" spans="1:9" ht="16.5" thickBot="1">
      <c r="A63" s="136" t="s">
        <v>39</v>
      </c>
      <c r="B63" s="137"/>
      <c r="C63" s="137"/>
      <c r="D63" s="137"/>
      <c r="E63" s="46">
        <f>E50/C53</f>
        <v>29.057469142857144</v>
      </c>
      <c r="F63" s="1"/>
      <c r="G63" s="1"/>
      <c r="H63" s="2"/>
      <c r="I63" s="2"/>
    </row>
    <row r="64" spans="1:9" ht="16.5" thickBot="1">
      <c r="A64" s="20"/>
      <c r="B64" s="20"/>
      <c r="C64" s="20"/>
      <c r="D64" s="20"/>
      <c r="E64" s="32"/>
      <c r="F64" s="1"/>
      <c r="G64" s="1"/>
      <c r="H64" s="2"/>
      <c r="I64" s="2"/>
    </row>
    <row r="65" spans="1:9" ht="16.5" thickBot="1">
      <c r="A65" s="122" t="s">
        <v>81</v>
      </c>
      <c r="B65" s="123"/>
      <c r="C65" s="124"/>
      <c r="D65" s="52" t="s">
        <v>82</v>
      </c>
      <c r="E65" s="54" t="s">
        <v>83</v>
      </c>
      <c r="F65" s="1"/>
      <c r="G65" s="1"/>
      <c r="H65" s="2"/>
      <c r="I65" s="2"/>
    </row>
    <row r="66" spans="1:9" ht="15.75">
      <c r="A66" s="125" t="s">
        <v>84</v>
      </c>
      <c r="B66" s="126"/>
      <c r="C66" s="127"/>
      <c r="D66" s="55">
        <v>1</v>
      </c>
      <c r="E66" s="58">
        <f>D66-1</f>
        <v>0</v>
      </c>
      <c r="F66" s="1"/>
      <c r="G66" s="1"/>
      <c r="H66" s="2"/>
      <c r="I66" s="2"/>
    </row>
    <row r="67" spans="1:9" ht="15.75">
      <c r="A67" s="110" t="s">
        <v>37</v>
      </c>
      <c r="B67" s="111"/>
      <c r="C67" s="112"/>
      <c r="D67" s="59">
        <f>D66*E55</f>
        <v>53860</v>
      </c>
      <c r="E67" s="56">
        <f>D67-E55</f>
        <v>0</v>
      </c>
      <c r="F67" s="1"/>
      <c r="G67" s="1"/>
      <c r="H67" s="2"/>
      <c r="I67" s="2"/>
    </row>
    <row r="68" spans="1:9" ht="15.75">
      <c r="A68" s="110" t="s">
        <v>85</v>
      </c>
      <c r="B68" s="111"/>
      <c r="C68" s="112"/>
      <c r="D68" s="59">
        <f>E50*D66</f>
        <v>10170.1142</v>
      </c>
      <c r="E68" s="56">
        <f>D68-E50</f>
        <v>0</v>
      </c>
      <c r="F68" s="1"/>
      <c r="G68" s="1"/>
      <c r="H68" s="2"/>
      <c r="I68" s="2"/>
    </row>
    <row r="69" spans="1:9" ht="15.75">
      <c r="A69" s="110" t="s">
        <v>86</v>
      </c>
      <c r="B69" s="111"/>
      <c r="C69" s="112"/>
      <c r="D69" s="59">
        <f>D67-D68</f>
        <v>43689.885800000004</v>
      </c>
      <c r="E69" s="56">
        <f>D69-E60</f>
        <v>0</v>
      </c>
      <c r="F69" s="1"/>
      <c r="G69" s="1"/>
      <c r="H69" s="2"/>
      <c r="I69" s="2"/>
    </row>
    <row r="70" spans="1:9" ht="16.5" thickBot="1">
      <c r="A70" s="128" t="s">
        <v>87</v>
      </c>
      <c r="B70" s="129"/>
      <c r="C70" s="130"/>
      <c r="D70" s="61">
        <f>E62*D66</f>
        <v>67.80076133333333</v>
      </c>
      <c r="E70" s="57">
        <f>D70-E62</f>
        <v>0</v>
      </c>
      <c r="F70" s="1"/>
      <c r="G70" s="1"/>
      <c r="H70" s="2"/>
      <c r="I70" s="2"/>
    </row>
    <row r="71" spans="1:9" ht="15.75">
      <c r="A71" s="20"/>
      <c r="B71" s="20"/>
      <c r="C71" s="20"/>
      <c r="D71" s="20"/>
      <c r="E71" s="32"/>
      <c r="F71" s="1"/>
      <c r="G71" s="1"/>
      <c r="H71" s="2"/>
      <c r="I71" s="2"/>
    </row>
    <row r="72" spans="1:9" ht="15.75">
      <c r="A72" s="20" t="s">
        <v>42</v>
      </c>
      <c r="B72" s="20"/>
      <c r="C72" s="20"/>
      <c r="D72" s="20"/>
      <c r="E72" s="32"/>
      <c r="F72" s="1"/>
      <c r="G72" s="1"/>
      <c r="H72" s="2"/>
      <c r="I72" s="2"/>
    </row>
    <row r="73" spans="1:9" ht="15.75">
      <c r="A73" s="97" t="s">
        <v>45</v>
      </c>
      <c r="B73" s="97"/>
      <c r="C73" s="97"/>
      <c r="D73" s="97"/>
      <c r="E73" s="97"/>
      <c r="F73" s="1"/>
      <c r="G73" s="1"/>
      <c r="H73" s="2"/>
      <c r="I73" s="2"/>
    </row>
    <row r="74" spans="1:9" ht="15.75">
      <c r="A74" s="97" t="s">
        <v>44</v>
      </c>
      <c r="B74" s="97"/>
      <c r="C74" s="97"/>
      <c r="D74" s="97"/>
      <c r="E74" s="97"/>
      <c r="F74" s="1"/>
      <c r="G74" s="1"/>
      <c r="H74" s="2"/>
      <c r="I74" s="2"/>
    </row>
    <row r="75" spans="1:9" ht="15.75">
      <c r="A75" s="97" t="s">
        <v>43</v>
      </c>
      <c r="B75" s="97"/>
      <c r="C75" s="97"/>
      <c r="D75" s="97"/>
      <c r="E75" s="97"/>
      <c r="F75" s="1"/>
      <c r="G75" s="1"/>
      <c r="H75" s="2"/>
      <c r="I75" s="2"/>
    </row>
    <row r="76" spans="1:9" ht="15.75">
      <c r="A76" s="97" t="s">
        <v>46</v>
      </c>
      <c r="B76" s="97"/>
      <c r="C76" s="97"/>
      <c r="D76" s="97"/>
      <c r="E76" s="97"/>
      <c r="F76" s="1"/>
      <c r="G76" s="1"/>
      <c r="H76" s="2"/>
      <c r="I76" s="2"/>
    </row>
    <row r="77" spans="1:9" ht="15.75">
      <c r="A77" s="97" t="s">
        <v>47</v>
      </c>
      <c r="B77" s="97"/>
      <c r="C77" s="97"/>
      <c r="D77" s="97"/>
      <c r="E77" s="97"/>
      <c r="F77" s="1"/>
      <c r="G77" s="1"/>
      <c r="H77" s="2"/>
      <c r="I77" s="2"/>
    </row>
    <row r="78" spans="1:9" ht="15.75">
      <c r="A78" s="21"/>
      <c r="B78" s="20"/>
      <c r="C78" s="20"/>
      <c r="D78" s="20"/>
      <c r="E78" s="32"/>
      <c r="F78" s="1"/>
      <c r="G78" s="1"/>
      <c r="H78" s="2"/>
      <c r="I78" s="2"/>
    </row>
    <row r="79" spans="1:9" ht="15.75">
      <c r="A79" s="98" t="s">
        <v>91</v>
      </c>
      <c r="B79" s="98"/>
      <c r="C79" s="98"/>
      <c r="D79" s="98"/>
      <c r="E79" s="98"/>
      <c r="F79" s="1"/>
      <c r="G79" s="1"/>
      <c r="H79" s="2"/>
      <c r="I79" s="2"/>
    </row>
    <row r="80" spans="1:9" ht="15.75">
      <c r="A80" s="47"/>
      <c r="B80" s="47"/>
      <c r="C80" s="47"/>
      <c r="D80" s="47"/>
      <c r="E80" s="47"/>
      <c r="F80" s="1"/>
      <c r="G80" s="1"/>
      <c r="H80" s="2"/>
      <c r="I80" s="2"/>
    </row>
    <row r="81" spans="1:16384" ht="31.5" customHeight="1">
      <c r="A81" s="99" t="s">
        <v>92</v>
      </c>
      <c r="B81" s="99"/>
      <c r="C81" s="99"/>
      <c r="D81" s="99"/>
      <c r="E81" s="9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9" ht="58.5" customHeight="1">
      <c r="A82" s="100" t="s">
        <v>93</v>
      </c>
      <c r="B82" s="100"/>
      <c r="C82" s="100"/>
      <c r="D82" s="100"/>
      <c r="E82" s="100"/>
      <c r="F82" s="19"/>
      <c r="G82" s="19"/>
      <c r="H82" s="7"/>
      <c r="I82" s="7"/>
    </row>
    <row r="83" spans="1:9" ht="15.75">
      <c r="A83" s="99" t="s">
        <v>62</v>
      </c>
      <c r="B83" s="99"/>
      <c r="C83" s="99"/>
      <c r="D83" s="99"/>
      <c r="E83" s="99"/>
      <c r="F83" s="1"/>
      <c r="G83" s="1"/>
      <c r="H83" s="2"/>
      <c r="I83" s="2"/>
    </row>
    <row r="84" spans="1:9" ht="15.75">
      <c r="A84" s="99" t="s">
        <v>73</v>
      </c>
      <c r="B84" s="99"/>
      <c r="C84" s="99"/>
      <c r="D84" s="99"/>
      <c r="E84" s="99"/>
      <c r="F84" s="1"/>
      <c r="G84" s="1"/>
      <c r="H84" s="2"/>
      <c r="I84" s="2"/>
    </row>
    <row r="85" spans="1:9" ht="15.75">
      <c r="A85" s="99" t="s">
        <v>63</v>
      </c>
      <c r="B85" s="99"/>
      <c r="C85" s="99"/>
      <c r="D85" s="99"/>
      <c r="E85" s="99"/>
      <c r="F85" s="1"/>
      <c r="G85" s="1"/>
      <c r="H85" s="2"/>
      <c r="I85" s="2"/>
    </row>
    <row r="86" spans="1:9" ht="15.75">
      <c r="A86" s="99" t="s">
        <v>64</v>
      </c>
      <c r="B86" s="99"/>
      <c r="C86" s="99"/>
      <c r="D86" s="99"/>
      <c r="E86" s="99"/>
      <c r="F86" s="1"/>
      <c r="G86" s="1"/>
      <c r="H86" s="2"/>
      <c r="I86" s="2"/>
    </row>
    <row r="87" spans="1:9" ht="15.75">
      <c r="A87" s="99" t="s">
        <v>65</v>
      </c>
      <c r="B87" s="99"/>
      <c r="C87" s="99"/>
      <c r="D87" s="99"/>
      <c r="E87" s="99"/>
      <c r="F87" s="1"/>
      <c r="G87" s="1"/>
      <c r="H87" s="2"/>
      <c r="I87" s="2"/>
    </row>
    <row r="88" spans="1:9" ht="33.75" customHeight="1">
      <c r="A88" s="99" t="s">
        <v>66</v>
      </c>
      <c r="B88" s="99"/>
      <c r="C88" s="99"/>
      <c r="D88" s="99"/>
      <c r="E88" s="99"/>
      <c r="F88" s="9"/>
      <c r="G88" s="9"/>
      <c r="H88" s="2"/>
      <c r="I88" s="2"/>
    </row>
    <row r="89" spans="1:9" ht="15.75">
      <c r="A89" s="99" t="s">
        <v>67</v>
      </c>
      <c r="B89" s="99"/>
      <c r="C89" s="99"/>
      <c r="D89" s="99"/>
      <c r="E89" s="99"/>
      <c r="F89" s="1"/>
      <c r="G89" s="1"/>
      <c r="H89" s="2"/>
      <c r="I89" s="2"/>
    </row>
    <row r="90" spans="1:9" ht="15.75">
      <c r="A90" s="99" t="s">
        <v>70</v>
      </c>
      <c r="B90" s="99"/>
      <c r="C90" s="99"/>
      <c r="D90" s="99"/>
      <c r="E90" s="99"/>
      <c r="F90" s="1"/>
      <c r="G90" s="1"/>
      <c r="H90" s="2"/>
      <c r="I90" s="2"/>
    </row>
    <row r="91" spans="1:9" ht="15.75">
      <c r="A91" s="99" t="s">
        <v>72</v>
      </c>
      <c r="B91" s="99"/>
      <c r="C91" s="99"/>
      <c r="D91" s="99"/>
      <c r="E91" s="99"/>
      <c r="F91" s="1"/>
      <c r="G91" s="1"/>
      <c r="H91" s="2"/>
      <c r="I91" s="2"/>
    </row>
    <row r="92" spans="1:9" ht="15.75">
      <c r="A92" s="99" t="s">
        <v>94</v>
      </c>
      <c r="B92" s="99"/>
      <c r="C92" s="99"/>
      <c r="D92" s="99"/>
      <c r="E92" s="99"/>
      <c r="F92" s="1"/>
      <c r="G92" s="1"/>
      <c r="H92" s="2"/>
      <c r="I92" s="2"/>
    </row>
    <row r="93" spans="1:9" ht="15.75">
      <c r="A93" s="99" t="s">
        <v>95</v>
      </c>
      <c r="B93" s="99"/>
      <c r="C93" s="99"/>
      <c r="D93" s="99"/>
      <c r="E93" s="99"/>
      <c r="F93" s="1"/>
      <c r="G93" s="1"/>
      <c r="H93" s="2"/>
      <c r="I93" s="2"/>
    </row>
    <row r="94" spans="1:9" ht="15.75">
      <c r="A94" s="99" t="s">
        <v>68</v>
      </c>
      <c r="B94" s="99"/>
      <c r="C94" s="99"/>
      <c r="D94" s="99"/>
      <c r="E94" s="99"/>
      <c r="F94" s="1"/>
      <c r="G94" s="1"/>
      <c r="H94" s="8"/>
      <c r="I94" s="8"/>
    </row>
    <row r="95" spans="1:7" ht="31.5" customHeight="1">
      <c r="A95" s="99" t="s">
        <v>97</v>
      </c>
      <c r="B95" s="99"/>
      <c r="C95" s="99"/>
      <c r="D95" s="99"/>
      <c r="E95" s="99"/>
      <c r="F95" s="1"/>
      <c r="G95" s="1"/>
    </row>
    <row r="96" spans="1:7" ht="15.75">
      <c r="A96" s="99" t="s">
        <v>80</v>
      </c>
      <c r="B96" s="99"/>
      <c r="C96" s="99"/>
      <c r="D96" s="99"/>
      <c r="E96" s="99"/>
      <c r="F96" s="1"/>
      <c r="G96" s="1"/>
    </row>
    <row r="97" spans="1:7" ht="15.75">
      <c r="A97" s="9"/>
      <c r="B97" s="11"/>
      <c r="C97" s="10"/>
      <c r="D97" s="14"/>
      <c r="E97" s="17"/>
      <c r="F97" s="1"/>
      <c r="G97" s="1"/>
    </row>
    <row r="98" spans="1:5" ht="31.5" customHeight="1">
      <c r="A98" s="102" t="s">
        <v>74</v>
      </c>
      <c r="B98" s="102"/>
      <c r="C98" s="102"/>
      <c r="D98" s="102"/>
      <c r="E98" s="102"/>
    </row>
    <row r="99" spans="1:5" ht="15.75">
      <c r="A99" s="1"/>
      <c r="B99" s="10"/>
      <c r="C99" s="10"/>
      <c r="D99" s="14"/>
      <c r="E99" s="17"/>
    </row>
    <row r="100" spans="1:5" ht="91.5" customHeight="1">
      <c r="A100" s="101" t="s">
        <v>78</v>
      </c>
      <c r="B100" s="101"/>
      <c r="C100" s="101"/>
      <c r="D100" s="101"/>
      <c r="E100" s="101"/>
    </row>
  </sheetData>
  <sheetProtection sheet="1" objects="1" scenarios="1" formatCells="0" formatColumns="0" formatRows="0" insertColumns="0" insertRows="0" insertHyperlinks="0" deleteColumns="0" deleteRows="0"/>
  <mergeCells count="50">
    <mergeCell ref="A57:E57"/>
    <mergeCell ref="A96:E96"/>
    <mergeCell ref="A65:C65"/>
    <mergeCell ref="A66:C66"/>
    <mergeCell ref="A67:C67"/>
    <mergeCell ref="A68:C68"/>
    <mergeCell ref="A69:C69"/>
    <mergeCell ref="A70:C70"/>
    <mergeCell ref="A92:E92"/>
    <mergeCell ref="A93:E93"/>
    <mergeCell ref="A94:E94"/>
    <mergeCell ref="A60:D60"/>
    <mergeCell ref="A58:D58"/>
    <mergeCell ref="A59:D59"/>
    <mergeCell ref="A62:D62"/>
    <mergeCell ref="A63:D63"/>
    <mergeCell ref="A1:E1"/>
    <mergeCell ref="A2:E2"/>
    <mergeCell ref="A3:E3"/>
    <mergeCell ref="A5:E5"/>
    <mergeCell ref="A9:C9"/>
    <mergeCell ref="A10:D10"/>
    <mergeCell ref="A11:D11"/>
    <mergeCell ref="A12:D12"/>
    <mergeCell ref="A15:F15"/>
    <mergeCell ref="A55:D55"/>
    <mergeCell ref="A50:D50"/>
    <mergeCell ref="A28:D28"/>
    <mergeCell ref="A41:D41"/>
    <mergeCell ref="A49:D49"/>
    <mergeCell ref="A100:E100"/>
    <mergeCell ref="A95:E95"/>
    <mergeCell ref="A88:E88"/>
    <mergeCell ref="A89:E89"/>
    <mergeCell ref="A91:E91"/>
    <mergeCell ref="A90:E90"/>
    <mergeCell ref="A98:E98"/>
    <mergeCell ref="A87:E87"/>
    <mergeCell ref="A81:E81"/>
    <mergeCell ref="A74:E74"/>
    <mergeCell ref="A75:E75"/>
    <mergeCell ref="A76:E76"/>
    <mergeCell ref="A84:E84"/>
    <mergeCell ref="A82:E82"/>
    <mergeCell ref="A83:E83"/>
    <mergeCell ref="A73:E73"/>
    <mergeCell ref="A77:E77"/>
    <mergeCell ref="A79:E79"/>
    <mergeCell ref="A85:E85"/>
    <mergeCell ref="A86:E86"/>
  </mergeCells>
  <hyperlinks>
    <hyperlink ref="A82" location="Sheet1!A11" display="Gasto de Mauinaria [1]"/>
    <hyperlink ref="A82:E82" location="Sheet1!A11" display="[1] Gasto de Mauinaria]:  Incluye la preparación del terreno y bancos con plástico y riego. Se estimó el valor tomando en consideración una máquina que instala los plásticos y el riego. Si esta práctica fuera a ser realizada a mano se estima un total de $"/>
    <hyperlink ref="A83" location="Sheet1!A14" display="[2] Aplicación de herbicida: Con bomba y uso de campana para proteger la planta."/>
    <hyperlink ref="A84" location="Sheet1!A15" display="[3] Siembra: Se estima que cada planta toma 30 segundos plantarla."/>
    <hyperlink ref="A85" location="Sheet1!A16" display="[4] Re-siembra: Re- siembra de las plántulas que no crecieron. "/>
    <hyperlink ref="A86" location="Sheet1!A17" display="[5] Abonamiento: Se calculó a 3 onzas por planta, 2 veces por ciclo (45 días y luego 3 meses después)."/>
    <hyperlink ref="A87" location="Sheet1!A18" display="[6] Desyerbo de corona: Se estima realizar la practica 1 vez durante la cosecha."/>
    <hyperlink ref="A88" location="Sheet1!A21" display="[7] Cosecha: Producción promedio de 3 libras por planta por ciclo con un 15% de pérdidas en producción. Cada 100libras se recoge en 2 horas.  Incluye empaque y mercadeo.      ."/>
    <hyperlink ref="A89" location="Sheet1!A26" display="[8] Servicio de Propagación: Se paga a una persona para que realice el proceso de germinación. Se paga por plántula"/>
    <hyperlink ref="A90" location="Sheet1!A28" display="[9] Ferti-riego: Abono 11-11-40 hidropónico  a razón de 7libras por tanque de 25glns"/>
    <hyperlink ref="A91" location="Sheet1!A31" display="[10] Plaguicida:  Se recomienda peritrina/organicide, aceite de neem. De dar hongo oxídate/sulfato de cobre"/>
    <hyperlink ref="A92" location="Sheet1!A32" display="[11] Sistema de riego:  Incluye Mangas de cabezal, magas de riego y conectores"/>
    <hyperlink ref="A93" location="Sheet1!A40" display="[12] Misceláneos: Missceláneos, administración, supervisión e imprevistos, seguridad y seguros"/>
    <hyperlink ref="A94" location="Sheet1!A41" display="[13] Obligaciones patronales: El 0.25 del total de gasto de mano de obra."/>
    <hyperlink ref="A95" location="Sheet1!A47" display="[14] Venta: Con rendimientos de 4 lbs. por planta."/>
  </hyperlinks>
  <printOptions/>
  <pageMargins left="0.7" right="0.7" top="0.75" bottom="0.75" header="0.3" footer="0.3"/>
  <pageSetup horizontalDpi="600" verticalDpi="600" orientation="portrait" scale="74"/>
  <rowBreaks count="1" manualBreakCount="1">
    <brk id="5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DirectorECAG</cp:lastModifiedBy>
  <cp:lastPrinted>2017-03-30T19:33:38Z</cp:lastPrinted>
  <dcterms:created xsi:type="dcterms:W3CDTF">2016-05-02T14:47:02Z</dcterms:created>
  <dcterms:modified xsi:type="dcterms:W3CDTF">2017-06-14T19:17:12Z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